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0" yWindow="160" windowWidth="16720" windowHeight="11280" activeTab="0"/>
  </bookViews>
  <sheets>
    <sheet name="Conversion for Visual Data" sheetId="1" r:id="rId1"/>
    <sheet name="Conversion for Spitzer Data " sheetId="2" r:id="rId2"/>
    <sheet name="Enter your Magnitude Data Here" sheetId="3" r:id="rId3"/>
    <sheet name="RA Dec Conversion 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<sst xmlns="http://schemas.openxmlformats.org/spreadsheetml/2006/main" count="149" uniqueCount="80">
  <si>
    <t>Version 1.0, Dec 2006</t>
  </si>
  <si>
    <t>Created by T. E. Roelofsen Moody etal.</t>
  </si>
  <si>
    <t>Enter CDELT1</t>
  </si>
  <si>
    <t>Enter CDELT2</t>
  </si>
  <si>
    <t>Enter Intensity</t>
  </si>
  <si>
    <t>Welcome to the Maxim DL conversion tool</t>
  </si>
  <si>
    <t>Please only enter information into yellow boxes.</t>
  </si>
  <si>
    <t xml:space="preserve">Open the Maxim DL Fits header </t>
  </si>
  <si>
    <t>This box converts from degree/px to sqdeg/px</t>
  </si>
  <si>
    <t>This box converts from sqdeg/px to sqarc/px</t>
  </si>
  <si>
    <t>This box converts from sqarc/px to steradians/px</t>
  </si>
  <si>
    <t>This box gives you the Flux of your star in Mjy</t>
  </si>
  <si>
    <t>This box gives you the Flux in Jy</t>
  </si>
  <si>
    <t>IRAC 1</t>
  </si>
  <si>
    <t>IRAC 2</t>
  </si>
  <si>
    <t>IRAC 3</t>
  </si>
  <si>
    <t>IRAC 4</t>
  </si>
  <si>
    <t>MIPS 1</t>
  </si>
  <si>
    <t>MIPS 2</t>
  </si>
  <si>
    <t>MIPS 3</t>
  </si>
  <si>
    <t>Below, pick which Wavelength you are looking at</t>
  </si>
  <si>
    <t>Flux of Vega at different Wavelengths</t>
  </si>
  <si>
    <t>The Magnitude of your star--&gt;</t>
  </si>
  <si>
    <t>J 2MASS</t>
  </si>
  <si>
    <t>H 2MASS</t>
  </si>
  <si>
    <t>K 2MASS</t>
  </si>
  <si>
    <t>Pick the Flux of Vega from the table on the left and enter it Here</t>
  </si>
  <si>
    <t>Enter RA Here</t>
  </si>
  <si>
    <t>Enter Dec Here</t>
  </si>
  <si>
    <t>multiply by hours</t>
  </si>
  <si>
    <t>Enter the decimal places here</t>
  </si>
  <si>
    <t>=</t>
  </si>
  <si>
    <t>minutes</t>
  </si>
  <si>
    <t>seconds</t>
  </si>
  <si>
    <t>RA =</t>
  </si>
  <si>
    <t>Hours</t>
  </si>
  <si>
    <t>Minutes</t>
  </si>
  <si>
    <t>Seconds</t>
  </si>
  <si>
    <t>Enter whole number here</t>
  </si>
  <si>
    <t>Dec =</t>
  </si>
  <si>
    <t>Deg</t>
  </si>
  <si>
    <t>Wavelength (microns)</t>
  </si>
  <si>
    <t>Whole Number here</t>
  </si>
  <si>
    <t>decimal places here</t>
  </si>
  <si>
    <t>Decimal Places here</t>
  </si>
  <si>
    <t>Decimal Places Here</t>
  </si>
  <si>
    <t>Number Here</t>
  </si>
  <si>
    <t>LEAVE THIS STUFF ALONE</t>
  </si>
  <si>
    <t>This Spreadsheet will convert decimal values of RA and Dec to Hours/Degrees, Minutes and Seconds</t>
  </si>
  <si>
    <t>Ignore this page!</t>
  </si>
  <si>
    <t>h (in erg*sec)</t>
  </si>
  <si>
    <t>c (cm/sec)</t>
  </si>
  <si>
    <t>k (erg/deg)</t>
  </si>
  <si>
    <t>2MassJ = 1.25 microns</t>
  </si>
  <si>
    <t>2Mass H =1.65 microns</t>
  </si>
  <si>
    <t>2Mass K = 2.17 microns</t>
  </si>
  <si>
    <t>IRAC 1= 3.6 microns</t>
  </si>
  <si>
    <t>IRAC 2= 4.5 microns</t>
  </si>
  <si>
    <t>IRAC 3= 5.8 microns</t>
  </si>
  <si>
    <t>IRAC 4= 8 microns</t>
  </si>
  <si>
    <t>MIPS1= 24 Microns</t>
  </si>
  <si>
    <t>MIPS2= 70 Microns</t>
  </si>
  <si>
    <t>MIPS3 = 160 Microns</t>
  </si>
  <si>
    <t>c/lamda^2</t>
  </si>
  <si>
    <t>erg/s/cm2/Hz</t>
  </si>
  <si>
    <t>cgs units * (c/lambda^2)</t>
  </si>
  <si>
    <t>lamda*flambda</t>
  </si>
  <si>
    <t>log (lambda*flambda)</t>
  </si>
  <si>
    <t>Log (lambda)</t>
  </si>
  <si>
    <t>Jy</t>
  </si>
  <si>
    <t>Mjy</t>
  </si>
  <si>
    <t>This box gives you the Flux in uJy</t>
  </si>
  <si>
    <t>uJy</t>
  </si>
  <si>
    <t>Enter PIXSCALE1</t>
  </si>
  <si>
    <t>Enter PIXSCALE2</t>
  </si>
  <si>
    <t>This box converts from arcsec/px to sqarcsec/px</t>
  </si>
  <si>
    <t>As you go along, enter your data for the same star below</t>
  </si>
  <si>
    <t>Enter the RA for your star (ex: 09 59 28.63)</t>
  </si>
  <si>
    <t>Enter the Dec for your Star (ex: 68 39 56.1)</t>
  </si>
  <si>
    <t>Source 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</si>
</sst>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E+00"/>
    <numFmt numFmtId="168" formatCode="0.000E+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 quotePrefix="1">
      <alignment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4" borderId="0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/>
    </xf>
    <xf numFmtId="11" fontId="0" fillId="2" borderId="2" xfId="0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2" xfId="0" applyFont="1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16.7109375" style="0" customWidth="1"/>
    <col min="2" max="2" width="31.421875" style="0" customWidth="1"/>
    <col min="3" max="4" width="13.140625" style="0" customWidth="1"/>
    <col min="5" max="5" width="11.421875" style="0" customWidth="1"/>
    <col min="6" max="6" width="21.140625" style="0" bestFit="1" customWidth="1"/>
    <col min="7" max="7" width="12.421875" style="0" bestFit="1" customWidth="1"/>
    <col min="8" max="8" width="18.421875" style="0" bestFit="1" customWidth="1"/>
    <col min="9" max="9" width="12.421875" style="0" bestFit="1" customWidth="1"/>
    <col min="10" max="10" width="8.8515625" style="0" customWidth="1"/>
    <col min="11" max="11" width="11.00390625" style="0" customWidth="1"/>
    <col min="12" max="12" width="12.8515625" style="0" customWidth="1"/>
    <col min="13" max="16384" width="8.8515625" style="0" customWidth="1"/>
  </cols>
  <sheetData>
    <row r="2" ht="12">
      <c r="B2" t="s">
        <v>5</v>
      </c>
    </row>
    <row r="3" ht="12">
      <c r="B3" t="s">
        <v>6</v>
      </c>
    </row>
    <row r="5" spans="2:14" ht="12">
      <c r="B5" s="1" t="s">
        <v>7</v>
      </c>
      <c r="C5" s="1"/>
      <c r="D5" s="6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6.25" customHeight="1">
      <c r="B6" s="1" t="s">
        <v>73</v>
      </c>
      <c r="C6" s="2">
        <v>0.000333333</v>
      </c>
      <c r="D6" s="6"/>
      <c r="E6" s="5"/>
      <c r="F6" s="5"/>
      <c r="G6" s="5"/>
      <c r="H6" s="5"/>
      <c r="I6" s="5"/>
      <c r="J6" s="5"/>
      <c r="L6" s="5"/>
      <c r="M6" s="1"/>
      <c r="N6" s="1"/>
    </row>
    <row r="7" spans="2:14" ht="12">
      <c r="B7" s="1" t="s">
        <v>74</v>
      </c>
      <c r="C7" s="2">
        <v>0.000333333</v>
      </c>
      <c r="D7" s="6"/>
      <c r="E7" s="6"/>
      <c r="F7" s="6"/>
      <c r="G7" s="6"/>
      <c r="H7" s="6"/>
      <c r="I7" s="6"/>
      <c r="J7" s="6"/>
      <c r="M7" s="1"/>
      <c r="N7" s="1"/>
    </row>
    <row r="8" spans="2:14" ht="22.5">
      <c r="B8" s="7" t="s">
        <v>75</v>
      </c>
      <c r="C8" s="4">
        <f>C6*C7</f>
        <v>1.11110888889E-07</v>
      </c>
      <c r="D8" s="6"/>
      <c r="E8" s="6"/>
      <c r="F8" s="6"/>
      <c r="G8" s="6"/>
      <c r="H8" s="6"/>
      <c r="I8" s="6"/>
      <c r="J8" s="6"/>
      <c r="M8" s="1"/>
      <c r="N8" s="1"/>
    </row>
    <row r="9" spans="2:14" ht="22.5">
      <c r="B9" s="7" t="s">
        <v>10</v>
      </c>
      <c r="C9" s="4">
        <f>C8*(2.3504*10^-11)</f>
        <v>2.6115503324470557E-18</v>
      </c>
      <c r="D9" s="6"/>
      <c r="E9" s="1"/>
      <c r="F9" s="1"/>
      <c r="G9" s="1"/>
      <c r="H9" s="1"/>
      <c r="I9" s="1"/>
      <c r="J9" s="1"/>
      <c r="M9" s="1"/>
      <c r="N9" s="1"/>
    </row>
    <row r="10" spans="2:14" ht="12">
      <c r="B10" s="3" t="s">
        <v>4</v>
      </c>
      <c r="C10" s="2">
        <v>669.4</v>
      </c>
      <c r="D10" s="6"/>
      <c r="E10" s="1"/>
      <c r="F10" s="1"/>
      <c r="G10" s="1"/>
      <c r="H10" s="1"/>
      <c r="I10" s="1"/>
      <c r="J10" s="1"/>
      <c r="M10" s="1"/>
      <c r="N10" s="1"/>
    </row>
    <row r="11" spans="2:14" ht="22.5">
      <c r="B11" s="7" t="s">
        <v>11</v>
      </c>
      <c r="C11" s="16">
        <f>C10*C9</f>
        <v>1.748171792540059E-15</v>
      </c>
      <c r="D11" s="6" t="s">
        <v>70</v>
      </c>
      <c r="E11" s="1"/>
      <c r="F11" s="1"/>
      <c r="G11" s="1"/>
      <c r="H11" s="1"/>
      <c r="I11" s="1"/>
      <c r="J11" s="1"/>
      <c r="M11" s="1"/>
      <c r="N11" s="1"/>
    </row>
    <row r="12" spans="2:14" ht="12">
      <c r="B12" s="7" t="s">
        <v>12</v>
      </c>
      <c r="C12" s="16">
        <f>C11*(10^6)</f>
        <v>1.748171792540059E-09</v>
      </c>
      <c r="D12" s="6" t="s">
        <v>69</v>
      </c>
      <c r="E12" s="1"/>
      <c r="F12" s="1"/>
      <c r="G12" s="1"/>
      <c r="H12" s="1"/>
      <c r="I12" s="1"/>
      <c r="J12" s="1"/>
      <c r="M12" s="1"/>
      <c r="N12" s="1"/>
    </row>
    <row r="13" spans="2:14" ht="12">
      <c r="B13" s="7" t="s">
        <v>71</v>
      </c>
      <c r="C13" s="16">
        <f>C12*1000</f>
        <v>1.748171792540059E-06</v>
      </c>
      <c r="D13" s="6" t="s">
        <v>72</v>
      </c>
      <c r="E13" s="1"/>
      <c r="F13" s="1"/>
      <c r="G13" s="1"/>
      <c r="H13" s="1"/>
      <c r="I13" s="1"/>
      <c r="J13" s="1"/>
      <c r="M13" s="1"/>
      <c r="N13" s="1"/>
    </row>
    <row r="14" spans="2:14" ht="12">
      <c r="B14" s="5"/>
      <c r="C14" s="6"/>
      <c r="D14" s="6"/>
      <c r="E14" s="1"/>
      <c r="F14" s="1"/>
      <c r="G14" s="1"/>
      <c r="H14" s="1"/>
      <c r="I14" s="1"/>
      <c r="J14" s="1"/>
      <c r="M14" s="1"/>
      <c r="N14" s="1"/>
    </row>
    <row r="15" spans="2:14" ht="33.75">
      <c r="B15" s="7" t="s">
        <v>20</v>
      </c>
      <c r="C15" s="7" t="s">
        <v>21</v>
      </c>
      <c r="D15" s="5"/>
      <c r="F15" s="1"/>
      <c r="G15" s="1"/>
      <c r="H15" s="1"/>
      <c r="I15" s="1"/>
      <c r="J15" s="1"/>
      <c r="K15" s="1"/>
      <c r="L15" s="1"/>
      <c r="M15" s="1"/>
      <c r="N15" s="1"/>
    </row>
    <row r="16" spans="2:14" ht="12">
      <c r="B16" s="6" t="s">
        <v>23</v>
      </c>
      <c r="C16" s="6">
        <v>1594</v>
      </c>
      <c r="D16" s="6"/>
      <c r="F16" s="1"/>
      <c r="G16" s="1"/>
      <c r="H16" s="1"/>
      <c r="I16" s="1"/>
      <c r="J16" s="1"/>
      <c r="K16" s="1"/>
      <c r="L16" s="1"/>
      <c r="M16" s="1"/>
      <c r="N16" s="1"/>
    </row>
    <row r="17" spans="2:14" ht="12">
      <c r="B17" s="6" t="s">
        <v>24</v>
      </c>
      <c r="C17" s="6">
        <v>1024</v>
      </c>
      <c r="D17" s="6"/>
      <c r="E17" s="26" t="s">
        <v>26</v>
      </c>
      <c r="F17" s="1"/>
      <c r="H17" s="1"/>
      <c r="I17" s="1"/>
      <c r="J17" s="1"/>
      <c r="K17" s="1"/>
      <c r="L17" s="1"/>
      <c r="M17" s="1"/>
      <c r="N17" s="1"/>
    </row>
    <row r="18" spans="2:14" ht="12.75" thickBot="1">
      <c r="B18" s="6" t="s">
        <v>25</v>
      </c>
      <c r="C18" s="6">
        <v>666.7</v>
      </c>
      <c r="D18" s="6"/>
      <c r="E18" s="26"/>
      <c r="F18" s="1"/>
      <c r="H18" s="1"/>
      <c r="I18" s="1"/>
      <c r="J18" s="1"/>
      <c r="K18" s="1"/>
      <c r="L18" s="1"/>
      <c r="M18" s="1"/>
      <c r="N18" s="1"/>
    </row>
    <row r="19" spans="2:14" ht="12.75" customHeight="1" thickBot="1">
      <c r="B19" s="1" t="s">
        <v>13</v>
      </c>
      <c r="C19" s="1">
        <v>280.9</v>
      </c>
      <c r="D19" s="1"/>
      <c r="E19" s="27"/>
      <c r="F19" s="11">
        <v>280.9</v>
      </c>
      <c r="H19" s="1"/>
      <c r="I19" s="1"/>
      <c r="J19" s="1"/>
      <c r="K19" s="1"/>
      <c r="L19" s="1"/>
      <c r="M19" s="1"/>
      <c r="N19" s="1"/>
    </row>
    <row r="20" spans="2:14" ht="12">
      <c r="B20" s="1" t="s">
        <v>14</v>
      </c>
      <c r="C20" s="1">
        <v>179.7</v>
      </c>
      <c r="D20" s="1"/>
      <c r="E20" s="26"/>
      <c r="F20" s="1"/>
      <c r="I20" s="1"/>
      <c r="J20" s="1"/>
      <c r="K20" s="1"/>
      <c r="L20" s="1"/>
      <c r="M20" s="1"/>
      <c r="N20" s="1"/>
    </row>
    <row r="21" spans="2:14" ht="12">
      <c r="B21" s="1" t="s">
        <v>15</v>
      </c>
      <c r="C21" s="1">
        <v>115</v>
      </c>
      <c r="D21" s="1"/>
      <c r="E21" s="26"/>
      <c r="F21" s="1"/>
      <c r="H21" s="10"/>
      <c r="J21" s="1"/>
      <c r="K21" s="1"/>
      <c r="L21" s="1"/>
      <c r="M21" s="1"/>
      <c r="N21" s="1"/>
    </row>
    <row r="22" spans="2:5" ht="12">
      <c r="B22" s="1" t="s">
        <v>16</v>
      </c>
      <c r="C22" s="1">
        <v>64.13</v>
      </c>
      <c r="D22" s="1"/>
      <c r="E22" s="26"/>
    </row>
    <row r="23" spans="2:4" ht="12">
      <c r="B23" s="1" t="s">
        <v>17</v>
      </c>
      <c r="C23" s="1">
        <v>7.14</v>
      </c>
      <c r="D23" s="1"/>
    </row>
    <row r="24" spans="2:4" ht="12">
      <c r="B24" s="1" t="s">
        <v>18</v>
      </c>
      <c r="C24" s="1">
        <v>0.775</v>
      </c>
      <c r="D24" s="1"/>
    </row>
    <row r="25" spans="2:4" ht="12">
      <c r="B25" s="1" t="s">
        <v>19</v>
      </c>
      <c r="C25" s="1">
        <v>0.159</v>
      </c>
      <c r="D25" s="1"/>
    </row>
    <row r="26" ht="12">
      <c r="D26" s="15"/>
    </row>
    <row r="27" ht="12">
      <c r="D27" s="15"/>
    </row>
    <row r="28" spans="2:4" ht="12">
      <c r="B28" s="8" t="s">
        <v>22</v>
      </c>
      <c r="C28" s="9">
        <f>2.5*LOG(F19/C12)</f>
        <v>28.0149190769059</v>
      </c>
      <c r="D28" s="15"/>
    </row>
    <row r="29" ht="12">
      <c r="D29" s="15"/>
    </row>
    <row r="32" ht="12">
      <c r="A32" t="s">
        <v>0</v>
      </c>
    </row>
    <row r="33" ht="12">
      <c r="A33" t="s">
        <v>1</v>
      </c>
    </row>
    <row r="41" spans="6:9" ht="12">
      <c r="F41" s="15"/>
      <c r="G41" s="15"/>
      <c r="H41" s="15"/>
      <c r="I41" s="15"/>
    </row>
    <row r="44" spans="3:4" ht="12">
      <c r="C44" s="14"/>
      <c r="D44" s="14"/>
    </row>
    <row r="45" spans="3:4" ht="12">
      <c r="C45" s="14"/>
      <c r="D45" s="14"/>
    </row>
    <row r="46" spans="3:4" ht="12">
      <c r="C46" s="14"/>
      <c r="D46" s="14"/>
    </row>
  </sheetData>
  <mergeCells count="1">
    <mergeCell ref="E17:E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0"/>
  <sheetViews>
    <sheetView workbookViewId="0" topLeftCell="A1">
      <selection activeCell="D14" sqref="D14"/>
    </sheetView>
  </sheetViews>
  <sheetFormatPr defaultColWidth="11.421875" defaultRowHeight="12.75"/>
  <cols>
    <col min="1" max="1" width="16.7109375" style="0" customWidth="1"/>
    <col min="2" max="2" width="55.140625" style="0" customWidth="1"/>
    <col min="3" max="4" width="13.140625" style="0" customWidth="1"/>
    <col min="5" max="5" width="11.421875" style="0" customWidth="1"/>
    <col min="6" max="6" width="21.140625" style="0" bestFit="1" customWidth="1"/>
    <col min="7" max="7" width="12.421875" style="0" bestFit="1" customWidth="1"/>
    <col min="8" max="8" width="18.421875" style="0" bestFit="1" customWidth="1"/>
    <col min="9" max="9" width="12.421875" style="0" bestFit="1" customWidth="1"/>
    <col min="10" max="10" width="8.8515625" style="0" customWidth="1"/>
    <col min="11" max="11" width="11.00390625" style="0" customWidth="1"/>
    <col min="12" max="12" width="12.8515625" style="0" customWidth="1"/>
    <col min="13" max="16384" width="8.8515625" style="0" customWidth="1"/>
  </cols>
  <sheetData>
    <row r="2" ht="12">
      <c r="B2" t="s">
        <v>5</v>
      </c>
    </row>
    <row r="3" ht="12">
      <c r="B3" t="s">
        <v>6</v>
      </c>
    </row>
    <row r="5" spans="2:6" ht="12">
      <c r="B5" t="s">
        <v>77</v>
      </c>
      <c r="C5" s="21"/>
      <c r="F5" t="s">
        <v>76</v>
      </c>
    </row>
    <row r="6" spans="2:8" ht="22.5">
      <c r="B6" t="s">
        <v>78</v>
      </c>
      <c r="C6" s="21"/>
      <c r="F6" s="17"/>
      <c r="G6" s="17" t="s">
        <v>41</v>
      </c>
      <c r="H6" s="13" t="s">
        <v>69</v>
      </c>
    </row>
    <row r="7" spans="3:8" ht="12">
      <c r="C7" s="15"/>
      <c r="F7" s="17"/>
      <c r="G7" s="17"/>
      <c r="H7" s="13"/>
    </row>
    <row r="8" spans="2:14" ht="12">
      <c r="B8" s="1" t="s">
        <v>7</v>
      </c>
      <c r="C8" s="1"/>
      <c r="D8" s="6"/>
      <c r="E8" s="1"/>
      <c r="F8" s="12" t="s">
        <v>23</v>
      </c>
      <c r="G8" s="12">
        <v>1.25</v>
      </c>
      <c r="H8" s="19">
        <v>10</v>
      </c>
      <c r="I8" s="1"/>
      <c r="K8" s="1"/>
      <c r="L8" s="1"/>
      <c r="M8" s="1"/>
      <c r="N8" s="1"/>
    </row>
    <row r="9" spans="2:14" ht="12">
      <c r="B9" s="1" t="s">
        <v>2</v>
      </c>
      <c r="C9" s="2">
        <v>0.000337894</v>
      </c>
      <c r="D9" s="6"/>
      <c r="E9" s="5"/>
      <c r="F9" s="12" t="s">
        <v>24</v>
      </c>
      <c r="G9" s="12">
        <v>1.65</v>
      </c>
      <c r="H9" s="19">
        <v>11</v>
      </c>
      <c r="I9" s="5"/>
      <c r="L9" s="5"/>
      <c r="M9" s="1"/>
      <c r="N9" s="1"/>
    </row>
    <row r="10" spans="2:14" ht="12">
      <c r="B10" s="1" t="s">
        <v>3</v>
      </c>
      <c r="C10" s="2">
        <v>0.000337738</v>
      </c>
      <c r="D10" s="6"/>
      <c r="E10" s="6"/>
      <c r="F10" s="12" t="s">
        <v>25</v>
      </c>
      <c r="G10" s="12">
        <v>2.17</v>
      </c>
      <c r="H10" s="19">
        <v>12</v>
      </c>
      <c r="I10" s="6"/>
      <c r="M10" s="1"/>
      <c r="N10" s="1"/>
    </row>
    <row r="11" spans="2:14" ht="12">
      <c r="B11" s="7" t="s">
        <v>8</v>
      </c>
      <c r="C11" s="4">
        <f>C9*C10</f>
        <v>1.1411964377200001E-07</v>
      </c>
      <c r="D11" s="6"/>
      <c r="E11" s="6"/>
      <c r="F11" s="18" t="s">
        <v>13</v>
      </c>
      <c r="G11" s="18">
        <v>3.6</v>
      </c>
      <c r="H11" s="19">
        <v>13</v>
      </c>
      <c r="I11" s="6"/>
      <c r="M11" s="1"/>
      <c r="N11" s="1"/>
    </row>
    <row r="12" spans="2:14" ht="12">
      <c r="B12" s="7" t="s">
        <v>9</v>
      </c>
      <c r="C12" s="4">
        <f>C11*(1.296*10^7)</f>
        <v>1.4789905832851202</v>
      </c>
      <c r="D12" s="6"/>
      <c r="E12" s="1"/>
      <c r="F12" s="18" t="s">
        <v>14</v>
      </c>
      <c r="G12" s="18">
        <v>4.5</v>
      </c>
      <c r="H12" s="19">
        <v>14</v>
      </c>
      <c r="I12" s="1"/>
      <c r="M12" s="1"/>
      <c r="N12" s="1"/>
    </row>
    <row r="13" spans="2:14" ht="12">
      <c r="B13" s="7" t="s">
        <v>10</v>
      </c>
      <c r="C13" s="4">
        <f>C12*(2.3504*10^-11)</f>
        <v>3.4762194669533466E-11</v>
      </c>
      <c r="D13" s="6"/>
      <c r="E13" s="1"/>
      <c r="F13" s="18" t="s">
        <v>15</v>
      </c>
      <c r="G13" s="18">
        <v>5.8</v>
      </c>
      <c r="H13" s="19">
        <v>15</v>
      </c>
      <c r="I13" s="1"/>
      <c r="M13" s="1"/>
      <c r="N13" s="1"/>
    </row>
    <row r="14" spans="2:14" ht="12">
      <c r="B14" s="3" t="s">
        <v>4</v>
      </c>
      <c r="C14" s="2">
        <v>1.512</v>
      </c>
      <c r="D14" s="6"/>
      <c r="E14" s="1"/>
      <c r="F14" s="18" t="s">
        <v>16</v>
      </c>
      <c r="G14" s="18">
        <v>8</v>
      </c>
      <c r="H14" s="19">
        <v>16</v>
      </c>
      <c r="I14" s="1"/>
      <c r="M14" s="1"/>
      <c r="N14" s="1"/>
    </row>
    <row r="15" spans="2:14" ht="12">
      <c r="B15" s="7" t="s">
        <v>11</v>
      </c>
      <c r="C15" s="16">
        <f>C14*C13</f>
        <v>5.25604383403346E-11</v>
      </c>
      <c r="D15" s="6" t="s">
        <v>70</v>
      </c>
      <c r="E15" s="1"/>
      <c r="F15" s="18" t="s">
        <v>17</v>
      </c>
      <c r="G15" s="18">
        <v>24</v>
      </c>
      <c r="H15" s="19">
        <v>17</v>
      </c>
      <c r="I15" s="1"/>
      <c r="M15" s="1"/>
      <c r="N15" s="1"/>
    </row>
    <row r="16" spans="2:14" ht="12">
      <c r="B16" s="7" t="s">
        <v>12</v>
      </c>
      <c r="C16" s="16">
        <f>C15*(10^6)</f>
        <v>5.25604383403346E-05</v>
      </c>
      <c r="D16" s="6" t="s">
        <v>69</v>
      </c>
      <c r="E16" s="1"/>
      <c r="F16" s="18" t="s">
        <v>18</v>
      </c>
      <c r="G16" s="18">
        <v>70</v>
      </c>
      <c r="H16" s="19">
        <v>18</v>
      </c>
      <c r="I16" s="1"/>
      <c r="M16" s="1"/>
      <c r="N16" s="1"/>
    </row>
    <row r="17" spans="2:14" ht="12">
      <c r="B17" s="7" t="s">
        <v>71</v>
      </c>
      <c r="C17" s="16">
        <f>C16*1000</f>
        <v>0.0525604383403346</v>
      </c>
      <c r="D17" s="6" t="s">
        <v>72</v>
      </c>
      <c r="E17" s="1"/>
      <c r="F17" s="18" t="s">
        <v>19</v>
      </c>
      <c r="G17" s="18">
        <v>160</v>
      </c>
      <c r="H17" s="19">
        <v>19</v>
      </c>
      <c r="I17" s="1"/>
      <c r="M17" s="1"/>
      <c r="N17" s="1"/>
    </row>
    <row r="18" spans="2:14" ht="12">
      <c r="B18" s="5"/>
      <c r="C18" s="6"/>
      <c r="D18" s="6"/>
      <c r="E18" s="1"/>
      <c r="F18" s="1"/>
      <c r="G18" s="1"/>
      <c r="H18" s="1"/>
      <c r="I18" s="1"/>
      <c r="J18" s="1"/>
      <c r="M18" s="1"/>
      <c r="N18" s="1"/>
    </row>
    <row r="19" spans="2:14" ht="33.75">
      <c r="B19" s="7" t="s">
        <v>20</v>
      </c>
      <c r="C19" s="7" t="s">
        <v>21</v>
      </c>
      <c r="D19" s="5"/>
      <c r="F19" s="1"/>
      <c r="G19" s="1"/>
      <c r="H19" s="1"/>
      <c r="I19" s="1"/>
      <c r="J19" s="1"/>
      <c r="K19" s="1"/>
      <c r="L19" s="1"/>
      <c r="M19" s="1"/>
      <c r="N19" s="1"/>
    </row>
    <row r="20" spans="2:14" ht="12">
      <c r="B20" s="6" t="s">
        <v>23</v>
      </c>
      <c r="C20" s="6">
        <v>1594</v>
      </c>
      <c r="D20" s="6"/>
      <c r="F20" s="1"/>
      <c r="G20" s="1"/>
      <c r="H20" s="1"/>
      <c r="I20" s="1"/>
      <c r="J20" s="1"/>
      <c r="K20" s="1"/>
      <c r="L20" s="1"/>
      <c r="M20" s="1"/>
      <c r="N20" s="1"/>
    </row>
    <row r="21" spans="2:14" ht="12">
      <c r="B21" s="6" t="s">
        <v>24</v>
      </c>
      <c r="C21" s="6">
        <v>1024</v>
      </c>
      <c r="D21" s="6"/>
      <c r="E21" s="26" t="s">
        <v>26</v>
      </c>
      <c r="F21" s="1"/>
      <c r="H21" s="1"/>
      <c r="I21" s="1"/>
      <c r="J21" s="1"/>
      <c r="K21" s="1"/>
      <c r="L21" s="1"/>
      <c r="M21" s="1"/>
      <c r="N21" s="1"/>
    </row>
    <row r="22" spans="2:14" ht="12.75" thickBot="1">
      <c r="B22" s="6" t="s">
        <v>25</v>
      </c>
      <c r="C22" s="6">
        <v>666.7</v>
      </c>
      <c r="D22" s="6"/>
      <c r="E22" s="26"/>
      <c r="F22" s="1"/>
      <c r="H22" s="1"/>
      <c r="I22" s="1"/>
      <c r="J22" s="1"/>
      <c r="K22" s="1"/>
      <c r="L22" s="1"/>
      <c r="M22" s="1"/>
      <c r="N22" s="1"/>
    </row>
    <row r="23" spans="2:14" ht="12.75" customHeight="1" thickBot="1">
      <c r="B23" s="1" t="s">
        <v>13</v>
      </c>
      <c r="C23" s="1">
        <v>280.9</v>
      </c>
      <c r="D23" s="1"/>
      <c r="E23" s="27"/>
      <c r="F23" s="11">
        <v>280.9</v>
      </c>
      <c r="H23" s="1"/>
      <c r="I23" s="1"/>
      <c r="J23" s="1"/>
      <c r="K23" s="1"/>
      <c r="L23" s="1"/>
      <c r="M23" s="1"/>
      <c r="N23" s="1"/>
    </row>
    <row r="24" spans="2:14" ht="12">
      <c r="B24" s="1" t="s">
        <v>14</v>
      </c>
      <c r="C24" s="1">
        <v>179.7</v>
      </c>
      <c r="D24" s="1"/>
      <c r="E24" s="26"/>
      <c r="F24" s="1"/>
      <c r="I24" s="1"/>
      <c r="J24" s="1"/>
      <c r="K24" s="1"/>
      <c r="L24" s="1"/>
      <c r="M24" s="1"/>
      <c r="N24" s="1"/>
    </row>
    <row r="25" spans="2:14" ht="12">
      <c r="B25" s="1" t="s">
        <v>15</v>
      </c>
      <c r="C25" s="1">
        <v>115</v>
      </c>
      <c r="D25" s="1"/>
      <c r="E25" s="26"/>
      <c r="F25" s="1"/>
      <c r="H25" s="10"/>
      <c r="J25" s="1"/>
      <c r="K25" s="1"/>
      <c r="L25" s="1"/>
      <c r="M25" s="1"/>
      <c r="N25" s="1"/>
    </row>
    <row r="26" spans="2:5" ht="12">
      <c r="B26" s="1" t="s">
        <v>16</v>
      </c>
      <c r="C26" s="1">
        <v>64.13</v>
      </c>
      <c r="D26" s="1"/>
      <c r="E26" s="26"/>
    </row>
    <row r="27" spans="2:4" ht="12">
      <c r="B27" s="1" t="s">
        <v>17</v>
      </c>
      <c r="C27" s="1">
        <v>7.14</v>
      </c>
      <c r="D27" s="1"/>
    </row>
    <row r="28" spans="2:4" ht="12">
      <c r="B28" s="1" t="s">
        <v>18</v>
      </c>
      <c r="C28" s="1">
        <v>0.775</v>
      </c>
      <c r="D28" s="1"/>
    </row>
    <row r="29" spans="2:4" ht="12">
      <c r="B29" s="1" t="s">
        <v>19</v>
      </c>
      <c r="C29" s="1">
        <v>0.159</v>
      </c>
      <c r="D29" s="1"/>
    </row>
    <row r="30" ht="12">
      <c r="D30" s="15"/>
    </row>
    <row r="31" ht="12">
      <c r="D31" s="15"/>
    </row>
    <row r="32" spans="2:4" ht="12">
      <c r="B32" s="8" t="s">
        <v>22</v>
      </c>
      <c r="C32" s="9">
        <f>2.5*LOG(F23/C16)</f>
        <v>16.819731901830366</v>
      </c>
      <c r="D32" s="15"/>
    </row>
    <row r="33" ht="12">
      <c r="D33" s="15"/>
    </row>
    <row r="45" spans="6:9" ht="12">
      <c r="F45" s="15"/>
      <c r="G45" s="15"/>
      <c r="H45" s="15"/>
      <c r="I45" s="15"/>
    </row>
    <row r="48" spans="3:4" ht="12">
      <c r="C48" s="14"/>
      <c r="D48" s="14"/>
    </row>
    <row r="49" spans="3:4" ht="12">
      <c r="C49" s="14"/>
      <c r="D49" s="14"/>
    </row>
    <row r="50" spans="3:4" ht="12">
      <c r="C50" s="14"/>
      <c r="D50" s="14"/>
    </row>
  </sheetData>
  <mergeCells count="1">
    <mergeCell ref="E21:E26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0:H20"/>
  <sheetViews>
    <sheetView workbookViewId="0" topLeftCell="A1">
      <selection activeCell="C12" sqref="C12"/>
    </sheetView>
  </sheetViews>
  <sheetFormatPr defaultColWidth="11.421875" defaultRowHeight="12.75"/>
  <cols>
    <col min="1" max="1" width="17.421875" style="0" customWidth="1"/>
    <col min="2" max="2" width="11.7109375" style="0" customWidth="1"/>
    <col min="3" max="3" width="15.00390625" style="0" customWidth="1"/>
    <col min="4" max="4" width="12.140625" style="0" bestFit="1" customWidth="1"/>
    <col min="5" max="5" width="21.140625" style="0" bestFit="1" customWidth="1"/>
    <col min="6" max="6" width="13.28125" style="0" bestFit="1" customWidth="1"/>
    <col min="7" max="7" width="18.421875" style="0" bestFit="1" customWidth="1"/>
    <col min="8" max="16384" width="8.8515625" style="0" customWidth="1"/>
  </cols>
  <sheetData>
    <row r="10" spans="1:8" ht="22.5">
      <c r="A10" s="17"/>
      <c r="B10" s="17" t="s">
        <v>41</v>
      </c>
      <c r="C10" s="13" t="s">
        <v>69</v>
      </c>
      <c r="D10" s="18" t="s">
        <v>64</v>
      </c>
      <c r="E10" s="18" t="s">
        <v>65</v>
      </c>
      <c r="F10" s="18" t="s">
        <v>66</v>
      </c>
      <c r="G10" s="18" t="s">
        <v>67</v>
      </c>
      <c r="H10" s="18" t="s">
        <v>68</v>
      </c>
    </row>
    <row r="11" spans="1:8" ht="12">
      <c r="A11" s="12" t="s">
        <v>23</v>
      </c>
      <c r="B11" s="12">
        <v>1.25</v>
      </c>
      <c r="C11" s="19">
        <f>'Conversion for Spitzer Data '!H8</f>
        <v>10</v>
      </c>
      <c r="D11" s="18">
        <f aca="true" t="shared" si="0" ref="D11:D20">C11*(1E-23)</f>
        <v>9.999999999999999E-23</v>
      </c>
      <c r="E11" s="12">
        <f>D11*Sheet3!$C8</f>
        <v>0.000191867136</v>
      </c>
      <c r="F11" s="12">
        <f>Sheet3!$B8*E11</f>
        <v>2.3983392E-08</v>
      </c>
      <c r="G11" s="20">
        <f aca="true" t="shared" si="1" ref="G11:G20">LOG(F11)</f>
        <v>-7.620089394101863</v>
      </c>
      <c r="H11" s="20">
        <f>LOG(Sheet3!B8)</f>
        <v>-3.9030899869919438</v>
      </c>
    </row>
    <row r="12" spans="1:8" ht="12">
      <c r="A12" s="12" t="s">
        <v>24</v>
      </c>
      <c r="B12" s="12">
        <v>1.65</v>
      </c>
      <c r="C12" s="19">
        <f>'Conversion for Spitzer Data '!H9</f>
        <v>11</v>
      </c>
      <c r="D12" s="18">
        <f t="shared" si="0"/>
        <v>1.1E-22</v>
      </c>
      <c r="E12" s="12">
        <f>D12*Sheet3!$C9</f>
        <v>0.00012112824242424242</v>
      </c>
      <c r="F12" s="12">
        <f>Sheet3!$B9*E12</f>
        <v>1.998616E-08</v>
      </c>
      <c r="G12" s="20">
        <f t="shared" si="1"/>
        <v>-7.699270640149488</v>
      </c>
      <c r="H12" s="20">
        <f>LOG(Sheet3!B9)</f>
        <v>-3.7825160557860937</v>
      </c>
    </row>
    <row r="13" spans="1:8" ht="12">
      <c r="A13" s="12" t="s">
        <v>25</v>
      </c>
      <c r="B13" s="12">
        <v>2.17</v>
      </c>
      <c r="C13" s="19">
        <f>'Conversion for Spitzer Data '!H10</f>
        <v>12</v>
      </c>
      <c r="D13" s="18">
        <f t="shared" si="0"/>
        <v>1.2E-22</v>
      </c>
      <c r="E13" s="12">
        <f>D13*Sheet3!$C10</f>
        <v>7.639807173649898E-05</v>
      </c>
      <c r="F13" s="12">
        <f>Sheet3!$B10*E13</f>
        <v>1.6578381566820277E-08</v>
      </c>
      <c r="G13" s="20">
        <f t="shared" si="1"/>
        <v>-7.780457868894712</v>
      </c>
      <c r="H13" s="20">
        <f>LOG(Sheet3!B10)</f>
        <v>-3.6635402661514704</v>
      </c>
    </row>
    <row r="14" spans="1:8" ht="12">
      <c r="A14" s="18" t="s">
        <v>13</v>
      </c>
      <c r="B14" s="18">
        <v>3.6</v>
      </c>
      <c r="C14" s="19">
        <f>'Conversion for Spitzer Data '!H11</f>
        <v>13</v>
      </c>
      <c r="D14" s="18">
        <f t="shared" si="0"/>
        <v>1.3E-22</v>
      </c>
      <c r="E14" s="12">
        <f>D14*Sheet3!$C11</f>
        <v>3.0071768518518515E-05</v>
      </c>
      <c r="F14" s="12">
        <f>Sheet3!$B11*E14</f>
        <v>1.0825836666666666E-08</v>
      </c>
      <c r="G14" s="20">
        <f t="shared" si="1"/>
        <v>-7.965538529554258</v>
      </c>
      <c r="H14" s="20">
        <f>LOG(Sheet3!B11)</f>
        <v>-3.4436974992327127</v>
      </c>
    </row>
    <row r="15" spans="1:8" ht="12">
      <c r="A15" s="18" t="s">
        <v>14</v>
      </c>
      <c r="B15" s="18">
        <v>4.5</v>
      </c>
      <c r="C15" s="19">
        <f>'Conversion for Spitzer Data '!H12</f>
        <v>14</v>
      </c>
      <c r="D15" s="18">
        <f t="shared" si="0"/>
        <v>1.4E-22</v>
      </c>
      <c r="E15" s="12">
        <f>D15*Sheet3!$C12</f>
        <v>2.072638814814815E-05</v>
      </c>
      <c r="F15" s="12">
        <f>Sheet3!$B12*E15</f>
        <v>9.326874666666667E-09</v>
      </c>
      <c r="G15" s="20">
        <f t="shared" si="1"/>
        <v>-8.030263859190914</v>
      </c>
      <c r="H15" s="20">
        <f>LOG(Sheet3!B12)</f>
        <v>-3.3467874862246565</v>
      </c>
    </row>
    <row r="16" spans="1:8" ht="12">
      <c r="A16" s="18" t="s">
        <v>15</v>
      </c>
      <c r="B16" s="18">
        <v>5.8</v>
      </c>
      <c r="C16" s="19">
        <f>'Conversion for Spitzer Data '!H13</f>
        <v>15</v>
      </c>
      <c r="D16" s="18">
        <f t="shared" si="0"/>
        <v>1.5E-22</v>
      </c>
      <c r="E16" s="12">
        <f>D16*Sheet3!$C13</f>
        <v>1.3367675386444709E-05</v>
      </c>
      <c r="F16" s="12">
        <f>Sheet3!$B13*E16</f>
        <v>7.753251724137932E-09</v>
      </c>
      <c r="G16" s="20">
        <f t="shared" si="1"/>
        <v>-8.110516115601063</v>
      </c>
      <c r="H16" s="20">
        <f>LOG(Sheet3!B13)</f>
        <v>-3.2365720064370627</v>
      </c>
    </row>
    <row r="17" spans="1:8" ht="12">
      <c r="A17" s="18" t="s">
        <v>16</v>
      </c>
      <c r="B17" s="18">
        <v>8</v>
      </c>
      <c r="C17" s="19">
        <f>'Conversion for Spitzer Data '!H14</f>
        <v>16</v>
      </c>
      <c r="D17" s="18">
        <f t="shared" si="0"/>
        <v>1.6E-22</v>
      </c>
      <c r="E17" s="12">
        <f>D17*Sheet3!$C14</f>
        <v>7.49481E-06</v>
      </c>
      <c r="F17" s="12">
        <f>Sheet3!$B14*E17</f>
        <v>5.995848E-09</v>
      </c>
      <c r="G17" s="20">
        <f t="shared" si="1"/>
        <v>-8.222149385429827</v>
      </c>
      <c r="H17" s="20">
        <f>LOG(Sheet3!B14)</f>
        <v>-3.0969100130080562</v>
      </c>
    </row>
    <row r="18" spans="1:8" ht="12">
      <c r="A18" s="18" t="s">
        <v>17</v>
      </c>
      <c r="B18" s="18">
        <v>24</v>
      </c>
      <c r="C18" s="19">
        <f>'Conversion for Spitzer Data '!H15</f>
        <v>17</v>
      </c>
      <c r="D18" s="18">
        <f t="shared" si="0"/>
        <v>1.7E-22</v>
      </c>
      <c r="E18" s="12">
        <f>D18*Sheet3!$C15</f>
        <v>8.848039583333336E-07</v>
      </c>
      <c r="F18" s="12">
        <f>Sheet3!$B15*E18</f>
        <v>2.1235295000000003E-09</v>
      </c>
      <c r="G18" s="20">
        <f t="shared" si="1"/>
        <v>-8.672941701427138</v>
      </c>
      <c r="H18" s="20">
        <f>LOG(Sheet3!B15)</f>
        <v>-2.619788758288394</v>
      </c>
    </row>
    <row r="19" spans="1:8" ht="12">
      <c r="A19" s="18" t="s">
        <v>18</v>
      </c>
      <c r="B19" s="18">
        <v>70</v>
      </c>
      <c r="C19" s="19">
        <f>'Conversion for Spitzer Data '!H16</f>
        <v>18</v>
      </c>
      <c r="D19" s="18">
        <f t="shared" si="0"/>
        <v>1.8E-22</v>
      </c>
      <c r="E19" s="12">
        <f>D19*Sheet3!$C16</f>
        <v>1.1012782040816325E-07</v>
      </c>
      <c r="F19" s="12">
        <f>Sheet3!$B16*E19</f>
        <v>7.708947428571428E-10</v>
      </c>
      <c r="G19" s="20">
        <f t="shared" si="1"/>
        <v>-9.113004916004758</v>
      </c>
      <c r="H19" s="20">
        <f>LOG(Sheet3!B16)</f>
        <v>-2.154901959985743</v>
      </c>
    </row>
    <row r="20" spans="1:8" ht="12">
      <c r="A20" s="18" t="s">
        <v>19</v>
      </c>
      <c r="B20" s="18">
        <v>160</v>
      </c>
      <c r="C20" s="19">
        <f>'Conversion for Spitzer Data '!H17</f>
        <v>19</v>
      </c>
      <c r="D20" s="18">
        <f t="shared" si="0"/>
        <v>1.8999999999999999E-22</v>
      </c>
      <c r="E20" s="12">
        <f>D20*Sheet3!$C17</f>
        <v>2.2250217187499998E-08</v>
      </c>
      <c r="F20" s="12">
        <f>Sheet3!$B17*E20</f>
        <v>3.56003475E-10</v>
      </c>
      <c r="G20" s="20">
        <f t="shared" si="1"/>
        <v>-9.448545762796902</v>
      </c>
      <c r="H20" s="20">
        <f>LOG(Sheet3!B17)</f>
        <v>-1.7958800173440752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3"/>
  <sheetViews>
    <sheetView workbookViewId="0" topLeftCell="E1">
      <selection activeCell="I20" sqref="I20"/>
    </sheetView>
  </sheetViews>
  <sheetFormatPr defaultColWidth="11.421875" defaultRowHeight="12.75"/>
  <cols>
    <col min="1" max="1" width="26.28125" style="0" hidden="1" customWidth="1"/>
    <col min="2" max="2" width="3.421875" style="0" hidden="1" customWidth="1"/>
    <col min="3" max="3" width="4.8515625" style="0" hidden="1" customWidth="1"/>
    <col min="4" max="4" width="0" style="0" hidden="1" customWidth="1"/>
    <col min="5" max="5" width="16.140625" style="0" customWidth="1"/>
    <col min="6" max="6" width="8.8515625" style="0" customWidth="1"/>
    <col min="7" max="7" width="5.7109375" style="0" customWidth="1"/>
    <col min="8" max="8" width="13.140625" style="0" bestFit="1" customWidth="1"/>
    <col min="9" max="9" width="14.00390625" style="0" customWidth="1"/>
    <col min="10" max="32" width="14.00390625" style="0" hidden="1" customWidth="1"/>
    <col min="33" max="16384" width="8.8515625" style="0" customWidth="1"/>
  </cols>
  <sheetData>
    <row r="1" ht="12">
      <c r="E1" t="s">
        <v>48</v>
      </c>
    </row>
    <row r="3" spans="6:40" ht="22.5">
      <c r="F3" t="s">
        <v>79</v>
      </c>
      <c r="H3" s="12" t="s">
        <v>27</v>
      </c>
      <c r="I3" s="13" t="s">
        <v>28</v>
      </c>
      <c r="J3" s="17" t="s">
        <v>31</v>
      </c>
      <c r="K3" s="17" t="s">
        <v>29</v>
      </c>
      <c r="L3" s="17"/>
      <c r="M3" s="17" t="s">
        <v>42</v>
      </c>
      <c r="N3" s="22" t="s">
        <v>43</v>
      </c>
      <c r="O3" s="22"/>
      <c r="P3" s="17" t="s">
        <v>32</v>
      </c>
      <c r="Q3" s="22"/>
      <c r="R3" s="22" t="s">
        <v>42</v>
      </c>
      <c r="S3" s="22" t="s">
        <v>44</v>
      </c>
      <c r="T3" s="22"/>
      <c r="U3" s="22" t="s">
        <v>33</v>
      </c>
      <c r="V3" s="22"/>
      <c r="W3" s="22"/>
      <c r="X3" s="22" t="s">
        <v>38</v>
      </c>
      <c r="Y3" s="22" t="s">
        <v>30</v>
      </c>
      <c r="Z3" s="22"/>
      <c r="AA3" s="22" t="s">
        <v>32</v>
      </c>
      <c r="AB3" s="22"/>
      <c r="AC3" s="22" t="s">
        <v>46</v>
      </c>
      <c r="AD3" s="22" t="s">
        <v>45</v>
      </c>
      <c r="AE3" s="22"/>
      <c r="AF3" s="22" t="s">
        <v>37</v>
      </c>
      <c r="AG3" s="18"/>
      <c r="AH3" s="18" t="s">
        <v>35</v>
      </c>
      <c r="AI3" s="18" t="s">
        <v>36</v>
      </c>
      <c r="AJ3" s="18" t="s">
        <v>37</v>
      </c>
      <c r="AK3" s="18"/>
      <c r="AL3" s="18" t="s">
        <v>40</v>
      </c>
      <c r="AM3" s="18" t="s">
        <v>36</v>
      </c>
      <c r="AN3" s="18" t="s">
        <v>37</v>
      </c>
    </row>
    <row r="4" spans="8:40" ht="12">
      <c r="H4" s="23">
        <v>75.89</v>
      </c>
      <c r="I4" s="23">
        <v>-7.05</v>
      </c>
      <c r="J4" s="22">
        <f>H4/360</f>
        <v>0.21080555555555555</v>
      </c>
      <c r="K4" s="22">
        <f>J4*24</f>
        <v>5.059333333333333</v>
      </c>
      <c r="L4" s="22"/>
      <c r="M4" s="22">
        <f>TRUNC(K4,0)</f>
        <v>5</v>
      </c>
      <c r="N4" s="22">
        <f>K4-M4</f>
        <v>0.059333333333333016</v>
      </c>
      <c r="O4" s="22"/>
      <c r="P4" s="22">
        <f>N4*60</f>
        <v>3.559999999999981</v>
      </c>
      <c r="Q4" s="22"/>
      <c r="R4" s="22">
        <f>TRUNC(P4,0)</f>
        <v>3</v>
      </c>
      <c r="S4" s="22">
        <f>P4-R4</f>
        <v>0.559999999999981</v>
      </c>
      <c r="T4" s="22"/>
      <c r="U4" s="22">
        <f>S4*60</f>
        <v>33.59999999999886</v>
      </c>
      <c r="V4" s="22"/>
      <c r="W4" s="22"/>
      <c r="X4" s="22">
        <f>TRUNC(I4,0)</f>
        <v>-7</v>
      </c>
      <c r="Y4" s="22">
        <f>I4-X4</f>
        <v>-0.04999999999999982</v>
      </c>
      <c r="Z4" s="22"/>
      <c r="AA4" s="22">
        <f>Y4*60</f>
        <v>-2.9999999999999893</v>
      </c>
      <c r="AB4" s="22"/>
      <c r="AC4" s="22">
        <f>TRUNC(AA4,0)</f>
        <v>-2</v>
      </c>
      <c r="AD4" s="22">
        <f>AA4-AC4</f>
        <v>-0.9999999999999893</v>
      </c>
      <c r="AE4" s="22"/>
      <c r="AF4" s="22">
        <f>AD4*60</f>
        <v>-59.99999999999936</v>
      </c>
      <c r="AG4" s="18" t="s">
        <v>34</v>
      </c>
      <c r="AH4" s="24">
        <f>M4</f>
        <v>5</v>
      </c>
      <c r="AI4" s="24">
        <f>R4</f>
        <v>3</v>
      </c>
      <c r="AJ4" s="25">
        <f>U4</f>
        <v>33.59999999999886</v>
      </c>
      <c r="AK4" s="18" t="s">
        <v>39</v>
      </c>
      <c r="AL4" s="24">
        <f>X4</f>
        <v>-7</v>
      </c>
      <c r="AM4" s="24">
        <f>AC4</f>
        <v>-2</v>
      </c>
      <c r="AN4" s="25">
        <f>AF4</f>
        <v>-59.99999999999936</v>
      </c>
    </row>
    <row r="5" spans="8:40" ht="12">
      <c r="H5" s="23">
        <v>75.89</v>
      </c>
      <c r="I5" s="23">
        <v>-7.05</v>
      </c>
      <c r="J5" s="22">
        <f>H5/360</f>
        <v>0.21080555555555555</v>
      </c>
      <c r="K5" s="22">
        <f>J5*24</f>
        <v>5.059333333333333</v>
      </c>
      <c r="L5" s="22"/>
      <c r="M5" s="22">
        <f>TRUNC(K5,0)</f>
        <v>5</v>
      </c>
      <c r="N5" s="22">
        <f>K5-M5</f>
        <v>0.059333333333333016</v>
      </c>
      <c r="O5" s="22"/>
      <c r="P5" s="22">
        <f>N5*60</f>
        <v>3.559999999999981</v>
      </c>
      <c r="Q5" s="22"/>
      <c r="R5" s="22">
        <f>TRUNC(P5,0)</f>
        <v>3</v>
      </c>
      <c r="S5" s="22">
        <f>P5-R5</f>
        <v>0.559999999999981</v>
      </c>
      <c r="T5" s="22"/>
      <c r="U5" s="22">
        <f>S5*60</f>
        <v>33.59999999999886</v>
      </c>
      <c r="V5" s="22"/>
      <c r="W5" s="22"/>
      <c r="X5" s="22">
        <f>TRUNC(I5,0)</f>
        <v>-7</v>
      </c>
      <c r="Y5" s="22">
        <f>I5-X5</f>
        <v>-0.04999999999999982</v>
      </c>
      <c r="Z5" s="22"/>
      <c r="AA5" s="22">
        <f>Y5*60</f>
        <v>-2.9999999999999893</v>
      </c>
      <c r="AB5" s="22"/>
      <c r="AC5" s="22">
        <f>TRUNC(AA5,0)</f>
        <v>-2</v>
      </c>
      <c r="AD5" s="22">
        <f>AA5-AC5</f>
        <v>-0.9999999999999893</v>
      </c>
      <c r="AE5" s="22"/>
      <c r="AF5" s="22">
        <f>AD5*60</f>
        <v>-59.99999999999936</v>
      </c>
      <c r="AG5" s="18" t="s">
        <v>34</v>
      </c>
      <c r="AH5" s="24">
        <f>M5</f>
        <v>5</v>
      </c>
      <c r="AI5" s="24">
        <f>R5</f>
        <v>3</v>
      </c>
      <c r="AJ5" s="25">
        <f>U5</f>
        <v>33.59999999999886</v>
      </c>
      <c r="AK5" s="18" t="s">
        <v>39</v>
      </c>
      <c r="AL5" s="24">
        <f>X5</f>
        <v>-7</v>
      </c>
      <c r="AM5" s="24">
        <f>AC5</f>
        <v>-2</v>
      </c>
      <c r="AN5" s="25">
        <f>AF5</f>
        <v>-59.99999999999936</v>
      </c>
    </row>
    <row r="6" spans="8:40" ht="12"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12">
      <c r="A7" s="6"/>
      <c r="B7" s="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8:40" ht="12"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8:40" ht="12"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2">
      <c r="A10" s="5" t="s">
        <v>47</v>
      </c>
      <c r="B10" s="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12">
      <c r="A11" s="7" t="s">
        <v>31</v>
      </c>
      <c r="B11" s="4">
        <f>H4/360</f>
        <v>0.21080555555555555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12">
      <c r="A12" s="7" t="s">
        <v>29</v>
      </c>
      <c r="B12" s="4">
        <f>B11*24</f>
        <v>5.059333333333333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2">
      <c r="A13" s="7"/>
      <c r="B13" s="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" ht="12">
      <c r="A14" s="7" t="s">
        <v>42</v>
      </c>
      <c r="B14" s="8">
        <f>TRUNC(B12,0)</f>
        <v>5</v>
      </c>
    </row>
    <row r="15" spans="1:2" ht="12">
      <c r="A15" s="8" t="s">
        <v>43</v>
      </c>
      <c r="B15" s="8">
        <f>B12-B14</f>
        <v>0.059333333333333016</v>
      </c>
    </row>
    <row r="16" spans="1:2" ht="12">
      <c r="A16" s="8"/>
      <c r="B16" s="8"/>
    </row>
    <row r="17" spans="1:2" ht="12">
      <c r="A17" s="7" t="s">
        <v>32</v>
      </c>
      <c r="B17" s="8">
        <f>B15*60</f>
        <v>3.559999999999981</v>
      </c>
    </row>
    <row r="18" spans="1:2" ht="12">
      <c r="A18" s="8"/>
      <c r="B18" s="8"/>
    </row>
    <row r="19" spans="1:2" ht="12">
      <c r="A19" s="8" t="s">
        <v>42</v>
      </c>
      <c r="B19" s="8">
        <f>TRUNC(B17,0)</f>
        <v>3</v>
      </c>
    </row>
    <row r="20" spans="1:2" ht="12">
      <c r="A20" s="8" t="s">
        <v>44</v>
      </c>
      <c r="B20" s="8">
        <f>B17-B19</f>
        <v>0.559999999999981</v>
      </c>
    </row>
    <row r="21" spans="1:2" ht="12">
      <c r="A21" s="8"/>
      <c r="B21" s="8"/>
    </row>
    <row r="22" spans="1:2" ht="12">
      <c r="A22" s="8" t="s">
        <v>33</v>
      </c>
      <c r="B22" s="8">
        <f>B20*60</f>
        <v>33.59999999999886</v>
      </c>
    </row>
    <row r="23" spans="1:2" ht="12">
      <c r="A23" s="8"/>
      <c r="B23" s="8"/>
    </row>
    <row r="24" spans="1:2" ht="12">
      <c r="A24" s="8"/>
      <c r="B24" s="8"/>
    </row>
    <row r="25" spans="1:2" ht="12">
      <c r="A25" s="8" t="s">
        <v>38</v>
      </c>
      <c r="B25" s="8">
        <f>TRUNC(I4,0)</f>
        <v>-7</v>
      </c>
    </row>
    <row r="26" spans="1:2" ht="12">
      <c r="A26" s="8" t="s">
        <v>30</v>
      </c>
      <c r="B26" s="8">
        <f>I4-B25</f>
        <v>-0.04999999999999982</v>
      </c>
    </row>
    <row r="27" spans="1:2" ht="12">
      <c r="A27" s="8"/>
      <c r="B27" s="8"/>
    </row>
    <row r="28" spans="1:2" ht="12">
      <c r="A28" s="8" t="s">
        <v>32</v>
      </c>
      <c r="B28" s="8">
        <f>B26*60</f>
        <v>-2.9999999999999893</v>
      </c>
    </row>
    <row r="29" spans="1:2" ht="12">
      <c r="A29" s="8"/>
      <c r="B29" s="8"/>
    </row>
    <row r="30" spans="1:2" ht="12">
      <c r="A30" s="8" t="s">
        <v>46</v>
      </c>
      <c r="B30" s="8">
        <f>TRUNC(B28,0)</f>
        <v>-2</v>
      </c>
    </row>
    <row r="31" spans="1:2" ht="12">
      <c r="A31" s="8" t="s">
        <v>45</v>
      </c>
      <c r="B31" s="8">
        <f>B28-B30</f>
        <v>-0.9999999999999893</v>
      </c>
    </row>
    <row r="32" spans="1:2" ht="12">
      <c r="A32" s="8"/>
      <c r="B32" s="8"/>
    </row>
    <row r="33" spans="1:2" ht="12">
      <c r="A33" s="8" t="s">
        <v>37</v>
      </c>
      <c r="B33" s="8">
        <f>B31*60</f>
        <v>-59.99999999999936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:IV17"/>
    </sheetView>
  </sheetViews>
  <sheetFormatPr defaultColWidth="11.421875" defaultRowHeight="12.75"/>
  <cols>
    <col min="1" max="1" width="20.7109375" style="0" bestFit="1" customWidth="1"/>
    <col min="2" max="2" width="8.8515625" style="0" customWidth="1"/>
    <col min="3" max="3" width="12.421875" style="0" bestFit="1" customWidth="1"/>
    <col min="4" max="4" width="8.8515625" style="0" customWidth="1"/>
    <col min="5" max="5" width="9.8515625" style="0" bestFit="1" customWidth="1"/>
    <col min="6" max="6" width="12.140625" style="0" bestFit="1" customWidth="1"/>
    <col min="7" max="7" width="21.140625" style="0" bestFit="1" customWidth="1"/>
    <col min="8" max="8" width="13.28125" style="0" bestFit="1" customWidth="1"/>
    <col min="9" max="16384" width="8.8515625" style="0" customWidth="1"/>
  </cols>
  <sheetData>
    <row r="1" ht="12">
      <c r="A1" t="s">
        <v>49</v>
      </c>
    </row>
    <row r="4" spans="1:5" ht="12">
      <c r="A4" t="s">
        <v>50</v>
      </c>
      <c r="C4" t="s">
        <v>51</v>
      </c>
      <c r="E4" t="s">
        <v>52</v>
      </c>
    </row>
    <row r="5" spans="1:5" ht="12">
      <c r="A5" s="14">
        <v>6.6260755E-27</v>
      </c>
      <c r="C5" s="14">
        <v>29979240000</v>
      </c>
      <c r="E5" s="14">
        <v>1.380658E-16</v>
      </c>
    </row>
    <row r="7" ht="12">
      <c r="C7" t="s">
        <v>63</v>
      </c>
    </row>
    <row r="8" spans="1:3" ht="12">
      <c r="A8" t="s">
        <v>53</v>
      </c>
      <c r="B8">
        <f>1.25/10000</f>
        <v>0.000125</v>
      </c>
      <c r="C8">
        <f aca="true" t="shared" si="0" ref="C8:C17">$C$5/(B8*B8)</f>
        <v>1.91867136E+18</v>
      </c>
    </row>
    <row r="9" spans="1:3" ht="12">
      <c r="A9" t="s">
        <v>54</v>
      </c>
      <c r="B9">
        <f>1.65/10000</f>
        <v>0.000165</v>
      </c>
      <c r="C9">
        <f t="shared" si="0"/>
        <v>1.1011658402203857E+18</v>
      </c>
    </row>
    <row r="10" spans="1:3" ht="12">
      <c r="A10" t="s">
        <v>55</v>
      </c>
      <c r="B10">
        <f>2.17/10000</f>
        <v>0.000217</v>
      </c>
      <c r="C10">
        <f t="shared" si="0"/>
        <v>6.366505978041582E+17</v>
      </c>
    </row>
    <row r="11" spans="1:3" ht="12">
      <c r="A11" t="s">
        <v>56</v>
      </c>
      <c r="B11">
        <f>3.6/10000</f>
        <v>0.00036</v>
      </c>
      <c r="C11">
        <f t="shared" si="0"/>
        <v>2.3132129629629626E+17</v>
      </c>
    </row>
    <row r="12" spans="1:3" ht="12">
      <c r="A12" t="s">
        <v>57</v>
      </c>
      <c r="B12">
        <f>4.5/10000</f>
        <v>0.00045</v>
      </c>
      <c r="C12">
        <f t="shared" si="0"/>
        <v>1.4804562962962963E+17</v>
      </c>
    </row>
    <row r="13" spans="1:3" ht="12">
      <c r="A13" t="s">
        <v>58</v>
      </c>
      <c r="B13">
        <f>5.8/10000</f>
        <v>0.00058</v>
      </c>
      <c r="C13">
        <f t="shared" si="0"/>
        <v>89117835909631400</v>
      </c>
    </row>
    <row r="14" spans="1:3" ht="12">
      <c r="A14" t="s">
        <v>59</v>
      </c>
      <c r="B14">
        <f>8/10000</f>
        <v>0.0008</v>
      </c>
      <c r="C14">
        <f t="shared" si="0"/>
        <v>46842562500000000</v>
      </c>
    </row>
    <row r="15" spans="1:3" ht="12">
      <c r="A15" t="s">
        <v>60</v>
      </c>
      <c r="B15">
        <f>24/10000</f>
        <v>0.0024</v>
      </c>
      <c r="C15">
        <f t="shared" si="0"/>
        <v>5204729166666668</v>
      </c>
    </row>
    <row r="16" spans="1:3" ht="12">
      <c r="A16" t="s">
        <v>61</v>
      </c>
      <c r="B16">
        <f>70/10000</f>
        <v>0.007</v>
      </c>
      <c r="C16">
        <f t="shared" si="0"/>
        <v>611821224489795.9</v>
      </c>
    </row>
    <row r="17" spans="1:3" ht="12">
      <c r="A17" t="s">
        <v>62</v>
      </c>
      <c r="B17">
        <f>160/10000</f>
        <v>0.016</v>
      </c>
      <c r="C17">
        <f t="shared" si="0"/>
        <v>117106406250000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Moody</dc:creator>
  <cp:keywords/>
  <dc:description/>
  <cp:lastModifiedBy>Luisa Rebull</cp:lastModifiedBy>
  <dcterms:created xsi:type="dcterms:W3CDTF">2006-07-07T20:33:16Z</dcterms:created>
  <dcterms:modified xsi:type="dcterms:W3CDTF">2006-07-12T00:58:23Z</dcterms:modified>
  <cp:category/>
  <cp:version/>
  <cp:contentType/>
  <cp:contentStatus/>
</cp:coreProperties>
</file>